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<sst xmlns="http://schemas.openxmlformats.org/spreadsheetml/2006/main" count="204" uniqueCount="202">
  <si>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</si>
  <si>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</si>
  <si>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</si>
  <si>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</si>
  <si>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</si>
  <si>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</si>
  <si>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</si>
  <si>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</si>
  <si>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</si>
  <si>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</si>
  <si>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</si>
  <si>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</si>
  <si>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</si>
  <si>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</si>
  <si>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</si>
  <si>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</si>
  <si>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</si>
  <si>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</si>
  <si>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</si>
  <si>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</si>
  <si>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</si>
  <si>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</si>
  <si>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</si>
  <si>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</si>
  <si>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</si>
  <si>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</si>
  <si>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</si>
  <si>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</si>
  <si>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</si>
  <si>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</si>
  <si>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</si>
  <si>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</si>
  <si>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</si>
  <si>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</si>
  <si>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</si>
  <si>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</si>
  <si>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</si>
  <si>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</si>
  <si>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</si>
  <si>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</si>
  <si>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</si>
  <si>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</si>
  <si>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</si>
  <si>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</si>
  <si>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</si>
  <si>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</si>
  <si>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</si>
  <si>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</si>
  <si>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</si>
  <si>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</si>
  <si>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</si>
  <si>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</si>
  <si>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</si>
  <si>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</si>
  <si>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</si>
  <si>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</si>
  <si>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</si>
  <si>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</si>
  <si>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</si>
  <si>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</si>
  <si>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</si>
  <si>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</si>
  <si>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</si>
  <si>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</si>
  <si>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</si>
  <si>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</si>
  <si>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</si>
  <si>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</si>
  <si>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</si>
  <si>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</si>
  <si>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</si>
  <si>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</si>
  <si>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</si>
  <si>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</si>
  <si>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</si>
  <si>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</si>
  <si>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</si>
  <si>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</si>
  <si>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</si>
  <si>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</si>
  <si>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</si>
  <si>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</si>
  <si>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</si>
  <si>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</si>
  <si>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</si>
  <si>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</si>
  <si>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</si>
  <si>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</si>
  <si>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</si>
  <si>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</si>
  <si>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</si>
  <si>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</si>
  <si>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</si>
  <si>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</si>
  <si>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</si>
  <si>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</si>
  <si>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</si>
  <si>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</si>
  <si>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</si>
  <si>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</si>
  <si>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</si>
  <si>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</si>
  <si>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</si>
  <si>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</si>
  <si>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</si>
  <si>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</si>
  <si>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</si>
  <si>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</si>
  <si>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</si>
  <si>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</si>
  <si>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</si>
  <si>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</si>
  <si>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</si>
  <si>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</si>
  <si>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</si>
  <si>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</si>
  <si>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</si>
  <si>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</si>
  <si>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</si>
  <si>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</si>
  <si>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</si>
  <si>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</si>
  <si>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</si>
  <si>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</si>
  <si>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</si>
  <si>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</si>
  <si>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</si>
  <si>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</si>
  <si>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</si>
  <si>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</si>
  <si>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</si>
  <si>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</si>
  <si>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</si>
  <si>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</si>
  <si>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</si>
  <si>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</si>
  <si>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</si>
  <si>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</si>
  <si>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</si>
  <si>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</si>
  <si>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</si>
  <si>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</si>
  <si>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</si>
  <si>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</si>
  <si>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</si>
  <si>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</si>
  <si>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</si>
  <si>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</si>
  <si>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</si>
  <si>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</si>
  <si>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</si>
  <si>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</si>
  <si>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</si>
  <si>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</si>
  <si>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</si>
  <si>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</si>
  <si>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</si>
  <si>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</si>
  <si>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</si>
  <si>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</si>
  <si>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</si>
  <si>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</si>
  <si>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</si>
  <si>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</si>
  <si>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</si>
  <si>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</si>
  <si>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</si>
  <si>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</si>
  <si>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</si>
  <si>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</si>
  <si>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</si>
  <si>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</si>
  <si>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</si>
  <si>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</si>
  <si>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</si>
  <si>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</si>
  <si>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</si>
  <si>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</si>
  <si>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</si>
  <si>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</si>
  <si>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</si>
  <si>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</si>
  <si>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</si>
  <si>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</si>
  <si>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</si>
  <si>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</si>
  <si>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</si>
  <si>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</si>
  <si>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</si>
  <si>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</si>
  <si>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</si>
  <si>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</si>
  <si>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</si>
  <si>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</si>
  <si>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</si>
  <si>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</si>
  <si>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</si>
  <si>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</si>
  <si>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</si>
  <si>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</si>
  <si>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</si>
  <si>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21.09.17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</si>
</sst>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37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K17" sqref="AK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201</v>
      </c>
      <c r="I5" s="86" t="s">
        <v>27</v>
      </c>
      <c r="J5" s="86" t="s">
        <v>200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199</v>
      </c>
      <c r="M6" s="86" t="s">
        <v>175</v>
      </c>
      <c r="N6" s="90" t="s">
        <v>176</v>
      </c>
      <c r="O6" s="86" t="s">
        <v>177</v>
      </c>
      <c r="P6" s="86" t="s">
        <v>178</v>
      </c>
      <c r="Q6" s="86" t="s">
        <v>179</v>
      </c>
      <c r="R6" s="86" t="s">
        <v>180</v>
      </c>
      <c r="S6" s="86" t="s">
        <v>181</v>
      </c>
      <c r="T6" s="86" t="s">
        <v>182</v>
      </c>
      <c r="U6" s="86" t="s">
        <v>183</v>
      </c>
      <c r="V6" s="86" t="s">
        <v>184</v>
      </c>
      <c r="W6" s="86" t="s">
        <v>185</v>
      </c>
      <c r="X6" s="86" t="s">
        <v>186</v>
      </c>
      <c r="Y6" s="86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84135063.08999999</v>
      </c>
      <c r="I9" s="38">
        <f aca="true" t="shared" si="0" ref="I9:I25">H9/D9*100</f>
        <v>55.72795252686705</v>
      </c>
      <c r="J9" s="63">
        <f>H9/(M9+N9+O9+N26+O26+P9+P26+Q9+R9+S9+Q26+R26+S26+T9+T26+U9+U26)*100</f>
        <v>82.3250706077633</v>
      </c>
      <c r="K9" s="64"/>
      <c r="L9" s="65">
        <f>H10-(M9+N9+O9+P9+Q9+R9+S9+T9+U9)</f>
        <v>-2294502.9500000067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32121698.249999996</v>
      </c>
      <c r="I10" s="39">
        <f t="shared" si="0"/>
        <v>55.28945799008832</v>
      </c>
      <c r="J10" s="69">
        <f>H10/(M9+N9+O9+P9+Q9+R9+S9+T9+U9)*100</f>
        <v>93.33307317485114</v>
      </c>
      <c r="L10" s="65">
        <f>(H11+H14+H15+H17)-(M10+N10+O10+P10+Q10+R10+S10+T10+U10)</f>
        <v>-62846.21999999881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78">
        <f>H11/D11*100</f>
        <v>54.508250405206915</v>
      </c>
      <c r="J11" s="83">
        <f>(H11+H13+H14+H15+H16+H17)/(M10+N10+O10+P10+Q10+R10+S10+T10+U10)*100</f>
        <v>99.70026428736466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4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4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84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4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4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5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11217333.239999998</v>
      </c>
      <c r="I18" s="41">
        <f t="shared" si="0"/>
        <v>68.21245288755647</v>
      </c>
      <c r="J18" s="83">
        <f>H18/(M18+N18+O18+P18+Q18+R18+S18+T18+U18)*100</f>
        <v>83.40651056340998</v>
      </c>
      <c r="L18" s="65">
        <f>H18-(M18+N18+O18+P18+Q18+R18+S18+T18+U18)</f>
        <v>-2231656.7300000023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</f>
        <v>3740115.5200000005</v>
      </c>
      <c r="I19" s="41">
        <f t="shared" si="0"/>
        <v>97.89504718709627</v>
      </c>
      <c r="J19" s="84"/>
      <c r="L19" s="65">
        <f>D19-H19</f>
        <v>80420.47999999952</v>
      </c>
      <c r="M19" s="24"/>
      <c r="N19" s="70"/>
      <c r="O19" s="24"/>
      <c r="P19" s="24"/>
      <c r="Q19" s="24"/>
      <c r="R19" s="24"/>
      <c r="S19" s="24"/>
      <c r="T19" s="24">
        <f>E19-H19</f>
        <v>80420.47999999952</v>
      </c>
      <c r="U19" s="24"/>
      <c r="V19" s="24"/>
      <c r="W19" s="24"/>
      <c r="X19" s="24"/>
      <c r="Y19" s="22">
        <f t="shared" si="3"/>
        <v>80420.47999999952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4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84"/>
      <c r="L21" s="65">
        <f t="shared" si="5"/>
        <v>16144.599999999977</v>
      </c>
      <c r="M21" s="24"/>
      <c r="N21" s="70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84"/>
      <c r="L22" s="65">
        <f t="shared" si="5"/>
        <v>32500.73999999999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4"/>
      <c r="L23" s="65">
        <f t="shared" si="5"/>
        <v>498426</v>
      </c>
      <c r="M23" s="24"/>
      <c r="N23" s="70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4"/>
      <c r="L24" s="65">
        <f t="shared" si="5"/>
        <v>25751.550000000017</v>
      </c>
      <c r="M24" s="24"/>
      <c r="N24" s="70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85"/>
      <c r="L25" s="65">
        <f t="shared" si="5"/>
        <v>537815.8900000001</v>
      </c>
      <c r="M25" s="24"/>
      <c r="N25" s="70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52013364.839999996</v>
      </c>
      <c r="I26" s="22">
        <f>H26/D26*100</f>
        <v>56.002243063761135</v>
      </c>
      <c r="J26" s="22">
        <f>H26/(N26+O26+P26+Q26+R26+S26+T26+U26)*100</f>
        <v>76.7358072867081</v>
      </c>
      <c r="L26" s="65">
        <f>H26-(M26+N26+O26+P26+Q26+R26+S26+T26+U26)</f>
        <v>-15769026.04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79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79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2"/>
      <c r="I31" s="42">
        <f t="shared" si="10"/>
        <v>0</v>
      </c>
      <c r="J31" s="72">
        <f>H31/(N31+O31+P31+Q31+R31+S31+T31+U31)*100</f>
        <v>0</v>
      </c>
      <c r="L31" s="65">
        <f t="shared" si="11"/>
        <v>-180560</v>
      </c>
      <c r="M31" s="73"/>
      <c r="N31" s="73"/>
      <c r="O31" s="73"/>
      <c r="P31" s="73"/>
      <c r="Q31" s="73"/>
      <c r="R31" s="73"/>
      <c r="S31" s="73">
        <v>22570</v>
      </c>
      <c r="T31" s="79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aca="true" t="shared" si="14" ref="J32:J95">H32/(N32+O32+P32+Q32+R32+S32+T32+U32)*100</f>
        <v>0</v>
      </c>
      <c r="L32" s="65">
        <f t="shared" si="11"/>
        <v>-613600</v>
      </c>
      <c r="M32" s="73"/>
      <c r="N32" s="73"/>
      <c r="O32" s="73"/>
      <c r="P32" s="73"/>
      <c r="Q32" s="73"/>
      <c r="R32" s="73"/>
      <c r="S32" s="73">
        <v>76700</v>
      </c>
      <c r="T32" s="79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2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79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2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79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2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79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2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79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2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79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2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79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2"/>
      <c r="I39" s="42">
        <f>H39/D39*100</f>
        <v>0</v>
      </c>
      <c r="J39" s="72">
        <f t="shared" si="14"/>
        <v>0</v>
      </c>
      <c r="L39" s="65">
        <f t="shared" si="11"/>
        <v>-180480</v>
      </c>
      <c r="M39" s="73"/>
      <c r="N39" s="73"/>
      <c r="O39" s="73"/>
      <c r="P39" s="73"/>
      <c r="Q39" s="73"/>
      <c r="R39" s="73"/>
      <c r="S39" s="73">
        <v>22560</v>
      </c>
      <c r="T39" s="79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79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2"/>
      <c r="I41" s="42">
        <f>H41/D41*100</f>
        <v>0</v>
      </c>
      <c r="J41" s="72">
        <f t="shared" si="14"/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79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2"/>
      <c r="I42" s="42">
        <f>H42/D42*100</f>
        <v>0</v>
      </c>
      <c r="J42" s="72">
        <f t="shared" si="14"/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79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2"/>
      <c r="I43" s="42">
        <f>H43/D43*100</f>
        <v>0</v>
      </c>
      <c r="J43" s="72">
        <f t="shared" si="14"/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79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72">
        <f t="shared" si="14"/>
        <v>12.101910828025478</v>
      </c>
      <c r="L44" s="65">
        <f t="shared" si="11"/>
        <v>-138000</v>
      </c>
      <c r="M44" s="73"/>
      <c r="N44" s="73"/>
      <c r="O44" s="73"/>
      <c r="P44" s="73"/>
      <c r="Q44" s="73"/>
      <c r="R44" s="73"/>
      <c r="S44" s="74">
        <v>5000</v>
      </c>
      <c r="T44" s="80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2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79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2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79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2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79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2"/>
      <c r="I48" s="42">
        <f t="shared" si="10"/>
        <v>0</v>
      </c>
      <c r="J48" s="72">
        <f t="shared" si="14"/>
        <v>0</v>
      </c>
      <c r="L48" s="65">
        <f t="shared" si="11"/>
        <v>-448000</v>
      </c>
      <c r="M48" s="73"/>
      <c r="N48" s="73"/>
      <c r="O48" s="73"/>
      <c r="P48" s="73"/>
      <c r="Q48" s="73"/>
      <c r="R48" s="73"/>
      <c r="S48" s="73">
        <v>56000</v>
      </c>
      <c r="T48" s="79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66.5873663624511</v>
      </c>
      <c r="L49" s="65">
        <f t="shared" si="11"/>
        <v>-512549.80000000005</v>
      </c>
      <c r="M49" s="73"/>
      <c r="N49" s="73"/>
      <c r="O49" s="73"/>
      <c r="P49" s="73"/>
      <c r="Q49" s="73"/>
      <c r="R49" s="73"/>
      <c r="S49" s="73">
        <v>153400</v>
      </c>
      <c r="T49" s="79">
        <f>1073800-4000</f>
        <v>1069800</v>
      </c>
      <c r="U49" s="73">
        <f>310800</f>
        <v>310800</v>
      </c>
      <c r="V49" s="73">
        <f>306800+4000-310800</f>
        <v>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2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79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2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79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2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79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2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79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2"/>
      <c r="I54" s="42">
        <f t="shared" si="10"/>
        <v>0</v>
      </c>
      <c r="J54" s="72">
        <f t="shared" si="14"/>
        <v>0</v>
      </c>
      <c r="L54" s="65">
        <f t="shared" si="11"/>
        <v>-280000</v>
      </c>
      <c r="M54" s="73"/>
      <c r="N54" s="73"/>
      <c r="O54" s="73"/>
      <c r="P54" s="73"/>
      <c r="Q54" s="73"/>
      <c r="R54" s="73"/>
      <c r="S54" s="73">
        <v>35000</v>
      </c>
      <c r="T54" s="79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72">
        <f t="shared" si="14"/>
        <v>17.5</v>
      </c>
      <c r="L55" s="65">
        <f t="shared" si="11"/>
        <v>-66000</v>
      </c>
      <c r="M55" s="73"/>
      <c r="N55" s="73"/>
      <c r="O55" s="73"/>
      <c r="P55" s="73"/>
      <c r="Q55" s="73"/>
      <c r="R55" s="73"/>
      <c r="S55" s="73">
        <v>10000</v>
      </c>
      <c r="T55" s="79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2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79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2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79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2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79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2"/>
      <c r="I59" s="42">
        <f t="shared" si="10"/>
        <v>0</v>
      </c>
      <c r="J59" s="72">
        <f t="shared" si="14"/>
        <v>0</v>
      </c>
      <c r="L59" s="65">
        <f t="shared" si="11"/>
        <v>-180000</v>
      </c>
      <c r="M59" s="73"/>
      <c r="N59" s="73"/>
      <c r="O59" s="73"/>
      <c r="P59" s="73"/>
      <c r="Q59" s="73"/>
      <c r="R59" s="73"/>
      <c r="S59" s="73">
        <v>10000</v>
      </c>
      <c r="T59" s="79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10"/>
        <v>0</v>
      </c>
      <c r="J60" s="72">
        <f t="shared" si="14"/>
        <v>0</v>
      </c>
      <c r="L60" s="65">
        <f t="shared" si="11"/>
        <v>-52800</v>
      </c>
      <c r="M60" s="73"/>
      <c r="N60" s="73"/>
      <c r="O60" s="73"/>
      <c r="P60" s="73">
        <f>6600</f>
        <v>6600</v>
      </c>
      <c r="Q60" s="73"/>
      <c r="R60" s="73"/>
      <c r="S60" s="73"/>
      <c r="T60" s="79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2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79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2"/>
      <c r="I62" s="42">
        <f t="shared" si="10"/>
        <v>0</v>
      </c>
      <c r="J62" s="72">
        <f t="shared" si="14"/>
        <v>0</v>
      </c>
      <c r="L62" s="65">
        <f t="shared" si="11"/>
        <v>-32000</v>
      </c>
      <c r="M62" s="73"/>
      <c r="N62" s="73"/>
      <c r="O62" s="73"/>
      <c r="P62" s="73"/>
      <c r="Q62" s="73"/>
      <c r="R62" s="73"/>
      <c r="S62" s="73">
        <v>46000</v>
      </c>
      <c r="T62" s="79">
        <v>322000</v>
      </c>
      <c r="U62" s="73">
        <f>-336000</f>
        <v>-336000</v>
      </c>
      <c r="V62" s="73">
        <f>92000+153000</f>
        <v>245000</v>
      </c>
      <c r="W62" s="73"/>
      <c r="X62" s="73">
        <f>183000</f>
        <v>183000</v>
      </c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2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79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2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79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2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79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2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79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2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79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4.743833017077799</v>
      </c>
      <c r="L68" s="65">
        <f t="shared" si="11"/>
        <v>-502000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79">
        <f>40471.53</f>
        <v>40471.53</v>
      </c>
      <c r="U68" s="73">
        <f>254528.47</f>
        <v>254528.47</v>
      </c>
      <c r="V68" s="73">
        <f>254528.47-254528.47</f>
        <v>0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2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79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2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79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2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79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2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79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72">
        <f t="shared" si="14"/>
        <v>99.83742509363296</v>
      </c>
      <c r="L73" s="65">
        <f t="shared" si="11"/>
        <v>-868.1500000000233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79"/>
      <c r="U73" s="73">
        <f>54000</f>
        <v>54000</v>
      </c>
      <c r="V73" s="73">
        <f>336000-336000+291000-54000</f>
        <v>237000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72">
        <f t="shared" si="14"/>
        <v>100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79"/>
      <c r="U74" s="73">
        <f>53000</f>
        <v>53000</v>
      </c>
      <c r="V74" s="73">
        <f>81200-53000</f>
        <v>28200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2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79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2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79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2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79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2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79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2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79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2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79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79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2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79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2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79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72">
        <f t="shared" si="14"/>
        <v>11.406844106463879</v>
      </c>
      <c r="L84" s="65">
        <f t="shared" si="11"/>
        <v>-233000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79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72">
        <f t="shared" si="14"/>
        <v>100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79"/>
      <c r="U85" s="73">
        <f>23000</f>
        <v>23000</v>
      </c>
      <c r="V85" s="73">
        <f>93100-23000</f>
        <v>70100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72">
        <f t="shared" si="14"/>
        <v>100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79"/>
      <c r="U86" s="73">
        <f>23000</f>
        <v>23000</v>
      </c>
      <c r="V86" s="73">
        <f>81200-23000</f>
        <v>58200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2">
        <f t="shared" si="14"/>
        <v>37.76971749804544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7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79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2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79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2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79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79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7" ref="I92:I145">H92/D92*100</f>
        <v>0</v>
      </c>
      <c r="J92" s="72">
        <f t="shared" si="14"/>
        <v>0</v>
      </c>
      <c r="L92" s="65">
        <f t="shared" si="15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79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7"/>
        <v>0</v>
      </c>
      <c r="J93" s="72">
        <f t="shared" si="14"/>
        <v>0</v>
      </c>
      <c r="L93" s="65">
        <f t="shared" si="15"/>
        <v>-206766.53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79">
        <f>271350-271350+360000</f>
        <v>360000</v>
      </c>
      <c r="U93" s="73">
        <f>-254528.47</f>
        <v>-254528.47</v>
      </c>
      <c r="V93" s="73">
        <f>254528.47</f>
        <v>254528.47</v>
      </c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72">
        <f t="shared" si="14"/>
        <v>15.55177269192779</v>
      </c>
      <c r="L94" s="65">
        <f t="shared" si="15"/>
        <v>-200915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79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4"/>
        <v>0</v>
      </c>
      <c r="L95" s="65">
        <f t="shared" si="15"/>
        <v>-450000</v>
      </c>
      <c r="M95" s="73"/>
      <c r="N95" s="75">
        <v>450000</v>
      </c>
      <c r="O95" s="73"/>
      <c r="P95" s="73"/>
      <c r="Q95" s="73"/>
      <c r="R95" s="73"/>
      <c r="S95" s="73"/>
      <c r="T95" s="79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72">
        <f aca="true" t="shared" si="19" ref="J96:J145">H96/(N96+O96+P96+Q96+R96+S96+T96+U96)*100</f>
        <v>9.583333333333334</v>
      </c>
      <c r="L96" s="65">
        <f t="shared" si="15"/>
        <v>-217000</v>
      </c>
      <c r="M96" s="73"/>
      <c r="N96" s="75">
        <v>240000</v>
      </c>
      <c r="O96" s="73"/>
      <c r="P96" s="73"/>
      <c r="Q96" s="73"/>
      <c r="R96" s="73"/>
      <c r="S96" s="73"/>
      <c r="T96" s="79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79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79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79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>
        <f t="shared" si="19"/>
        <v>0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79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79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72">
        <f t="shared" si="19"/>
        <v>20.408163265306122</v>
      </c>
      <c r="L102" s="65">
        <f t="shared" si="15"/>
        <v>-74100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79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2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0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2">
        <f t="shared" si="19"/>
        <v>99.60153978814587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0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72">
        <f t="shared" si="19"/>
        <v>75.63502432244614</v>
      </c>
      <c r="L105" s="65">
        <f t="shared" si="15"/>
        <v>-140244.8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0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79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5">
        <v>134745</v>
      </c>
      <c r="O107" s="73"/>
      <c r="P107" s="73"/>
      <c r="Q107" s="73"/>
      <c r="R107" s="73"/>
      <c r="S107" s="73"/>
      <c r="T107" s="79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72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79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72">
        <f t="shared" si="19"/>
        <v>95.66055472263868</v>
      </c>
      <c r="L109" s="65">
        <f t="shared" si="15"/>
        <v>-8683.23000000001</v>
      </c>
      <c r="M109" s="73"/>
      <c r="N109" s="73"/>
      <c r="O109" s="73">
        <v>203400</v>
      </c>
      <c r="P109" s="73"/>
      <c r="Q109" s="73"/>
      <c r="R109" s="73"/>
      <c r="S109" s="73"/>
      <c r="T109" s="79"/>
      <c r="U109" s="73">
        <f>-3300</f>
        <v>-3300</v>
      </c>
      <c r="V109" s="73"/>
      <c r="W109" s="73">
        <v>915300</v>
      </c>
      <c r="X109" s="73">
        <f>915300+3300</f>
        <v>918600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7"/>
        <v>98.1116434957428</v>
      </c>
      <c r="J110" s="72">
        <f t="shared" si="19"/>
        <v>99.90128000406558</v>
      </c>
      <c r="L110" s="65">
        <f t="shared" si="15"/>
        <v>-3300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79">
        <f>1100000-1100000</f>
        <v>0</v>
      </c>
      <c r="U110" s="73">
        <f>3300</f>
        <v>3300</v>
      </c>
      <c r="V110" s="73"/>
      <c r="W110" s="73">
        <f>1201000-1201000</f>
        <v>0</v>
      </c>
      <c r="X110" s="73">
        <f>161512.18-97237-3300</f>
        <v>60975.17999999999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72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79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72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79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72">
        <f t="shared" si="19"/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79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72">
        <f t="shared" si="19"/>
        <v>12.206572769953052</v>
      </c>
      <c r="L114" s="65">
        <f t="shared" si="15"/>
        <v>-187000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79"/>
      <c r="U114" s="73">
        <f>183000</f>
        <v>183000</v>
      </c>
      <c r="V114" s="73"/>
      <c r="W114" s="73"/>
      <c r="X114" s="73">
        <f>270000-183000</f>
        <v>87000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19"/>
        <v>0</v>
      </c>
      <c r="L115" s="65">
        <f t="shared" si="15"/>
        <v>-70000</v>
      </c>
      <c r="M115" s="73"/>
      <c r="N115" s="75">
        <v>70000</v>
      </c>
      <c r="O115" s="73"/>
      <c r="P115" s="73"/>
      <c r="Q115" s="73"/>
      <c r="R115" s="73"/>
      <c r="S115" s="73"/>
      <c r="T115" s="79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72">
        <f t="shared" si="19"/>
        <v>8.850584945571505</v>
      </c>
      <c r="L116" s="65">
        <f t="shared" si="15"/>
        <v>-700310.8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79">
        <f>76700-76700</f>
        <v>0</v>
      </c>
      <c r="U116" s="73">
        <f>67081-67081+572000</f>
        <v>572000</v>
      </c>
      <c r="V116" s="73">
        <f>536900-536900</f>
        <v>0</v>
      </c>
      <c r="W116" s="73">
        <f>75166-75166</f>
        <v>0</v>
      </c>
      <c r="X116" s="73">
        <f>153400-153400+722589.2-572000</f>
        <v>150589.19999999995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72">
        <f t="shared" si="19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0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72">
        <f t="shared" si="19"/>
        <v>87.32026254552238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79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72">
        <f t="shared" si="19"/>
        <v>96.87720779011103</v>
      </c>
      <c r="L119" s="65">
        <f t="shared" si="15"/>
        <v>-146032.34999999963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79"/>
      <c r="U119" s="73">
        <f>-530116</f>
        <v>-530116</v>
      </c>
      <c r="V119" s="73">
        <f>530116</f>
        <v>530116</v>
      </c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19"/>
        <v>89.94117647058823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0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 t="shared" si="19"/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79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72">
        <f t="shared" si="19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9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72" t="e">
        <f t="shared" si="19"/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0">
        <f>1800000-1800000</f>
        <v>0</v>
      </c>
      <c r="U123" s="74"/>
      <c r="V123" s="74">
        <f>2029000+1800000-3179707.24-454000</f>
        <v>195292.75999999978</v>
      </c>
      <c r="W123" s="74">
        <f>3165057.24+454000</f>
        <v>3619057.24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72">
        <f t="shared" si="19"/>
        <v>96.7889434612691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9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72">
        <f t="shared" si="19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0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72">
        <f t="shared" si="19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0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19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72">
        <f t="shared" si="19"/>
        <v>51.150098336064055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72">
        <f t="shared" si="19"/>
        <v>82.27228207639568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19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72">
        <f t="shared" si="19"/>
        <v>95.83124226308196</v>
      </c>
      <c r="L131" s="65">
        <f t="shared" si="15"/>
        <v>-464322.7400000002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199004+202000-882800</f>
        <v>-481796</v>
      </c>
      <c r="V131" s="74">
        <f>28348+246000+439068-700000+41554.92+310800</f>
        <v>365770.92</v>
      </c>
      <c r="W131" s="74">
        <f>1472356+3920000-3920000-1016660+688500+836000+331000+572000</f>
        <v>2883196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72">
        <f t="shared" si="19"/>
        <v>73.68332093085755</v>
      </c>
      <c r="L132" s="65">
        <f t="shared" si="15"/>
        <v>-1035598.6200000001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72">
        <f t="shared" si="19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72">
        <f t="shared" si="19"/>
        <v>0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 t="e">
        <f t="shared" si="19"/>
        <v>#DIV/0!</v>
      </c>
      <c r="L135" s="65">
        <f t="shared" si="15"/>
        <v>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f>150000-200000</f>
        <v>-50000</v>
      </c>
      <c r="V135" s="73"/>
      <c r="W135" s="73"/>
      <c r="X135" s="73">
        <f>200000</f>
        <v>200000</v>
      </c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7"/>
        <v>0</v>
      </c>
      <c r="J136" s="72">
        <f t="shared" si="19"/>
        <v>0</v>
      </c>
      <c r="L136" s="65">
        <f t="shared" si="15"/>
        <v>-120000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>
        <f>-402116+76116</f>
        <v>-326000</v>
      </c>
      <c r="V136" s="73">
        <f>152144.93-76116</f>
        <v>76028.93</v>
      </c>
      <c r="W136" s="73">
        <f>100000-100000+7971.07</f>
        <v>7971.07</v>
      </c>
      <c r="X136" s="73">
        <f>346000-346000+242000</f>
        <v>242000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72">
        <f t="shared" si="19"/>
        <v>88.79203684210526</v>
      </c>
      <c r="L137" s="65">
        <f>H137-(M137+N137+O137+P137+Q137+R137+S137+T137+U137)</f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72">
        <f t="shared" si="19"/>
        <v>100</v>
      </c>
      <c r="L138" s="65">
        <f>H138-(M138+N138+O138+P138+Q138+R138+S138+T138+U138)</f>
        <v>0</v>
      </c>
      <c r="M138" s="73"/>
      <c r="N138" s="73"/>
      <c r="O138" s="73"/>
      <c r="P138" s="73"/>
      <c r="Q138" s="73"/>
      <c r="R138" s="73"/>
      <c r="S138" s="73"/>
      <c r="T138" s="73"/>
      <c r="U138" s="73">
        <f>300000</f>
        <v>300000</v>
      </c>
      <c r="V138" s="73">
        <f>152144.93-152144.93</f>
        <v>0</v>
      </c>
      <c r="W138" s="73">
        <f>195800-147855.07</f>
        <v>47944.92999999999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72">
        <f t="shared" si="19"/>
        <v>0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 t="shared" si="17"/>
        <v>95.70049419849357</v>
      </c>
      <c r="J140" s="72">
        <f t="shared" si="19"/>
        <v>100</v>
      </c>
      <c r="L140" s="65">
        <f t="shared" si="15"/>
        <v>0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>
        <f>-20384</f>
        <v>-20384</v>
      </c>
      <c r="V140" s="73"/>
      <c r="W140" s="73">
        <f>20384</f>
        <v>20384</v>
      </c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/>
      <c r="I141" s="41"/>
      <c r="J141" s="72">
        <f t="shared" si="19"/>
        <v>0</v>
      </c>
      <c r="L141" s="65">
        <f t="shared" si="15"/>
        <v>-103000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f>100000-47000</f>
        <v>53000</v>
      </c>
      <c r="V141" s="73"/>
      <c r="W141" s="73">
        <f>47000</f>
        <v>47000</v>
      </c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72" t="e">
        <f t="shared" si="19"/>
        <v>#DIV/0!</v>
      </c>
      <c r="L142" s="65">
        <f t="shared" si="15"/>
        <v>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>
        <f>-72500</f>
        <v>-72500</v>
      </c>
      <c r="V142" s="73"/>
      <c r="W142" s="73">
        <f>72500</f>
        <v>72500</v>
      </c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19"/>
        <v>0</v>
      </c>
      <c r="L143" s="65">
        <f t="shared" si="15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19"/>
        <v>0</v>
      </c>
      <c r="L144" s="65">
        <f t="shared" si="15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72">
        <f t="shared" si="19"/>
        <v>21.153846153846153</v>
      </c>
      <c r="L145" s="65">
        <f>H145-(M145+N145+O145+P145+Q145+R145+S145+T145+U145)</f>
        <v>-287000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82" t="s">
        <v>64</v>
      </c>
      <c r="B146" s="82"/>
      <c r="C146" s="82"/>
      <c r="D146" s="82"/>
      <c r="E146" s="82"/>
      <c r="F146" s="82"/>
      <c r="G146" s="82"/>
      <c r="H146" s="82"/>
      <c r="I146" s="82"/>
      <c r="J146" s="82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82113873.94</v>
      </c>
      <c r="I147" s="38">
        <f>H147/D147*100</f>
        <v>55.594287105117054</v>
      </c>
      <c r="J147" s="38">
        <f>H147/(N147+O147+P147+Q147+R147+S147+T147+U147)*100</f>
        <v>82.43962587769312</v>
      </c>
      <c r="K147" s="64"/>
      <c r="L147" s="65">
        <f>H147-(M147+N147+O147+P147+Q147+R147+S147+T147+U147)</f>
        <v>-17490986.060000002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11239435</v>
      </c>
      <c r="V147" s="66">
        <f t="shared" si="26"/>
        <v>11272700</v>
      </c>
      <c r="W147" s="66">
        <f t="shared" si="26"/>
        <v>20354240</v>
      </c>
      <c r="X147" s="66">
        <f t="shared" si="26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82113873.94</v>
      </c>
      <c r="I148" s="53">
        <f>H148/D148*100</f>
        <v>55.594287105117054</v>
      </c>
      <c r="J148" s="76">
        <f>H148/(N147+O147+P147+Q147+R147+S147+T147+U147)*100</f>
        <v>82.43962587769312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H149/(N149+O149+P149+Q149+R149+S149+T149+U149)*100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H150/(N150+O150+P150+Q150+R150+S150+T150+U150)*100</f>
        <v>0</v>
      </c>
      <c r="L150" s="65">
        <f aca="true" t="shared" si="28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 t="e">
        <f t="shared" si="27"/>
        <v>#DIV/0!</v>
      </c>
      <c r="L151" s="65">
        <f t="shared" si="28"/>
        <v>0</v>
      </c>
      <c r="M151" s="71"/>
      <c r="N151" s="71"/>
      <c r="O151" s="71"/>
      <c r="P151" s="71"/>
      <c r="Q151" s="71"/>
      <c r="R151" s="71"/>
      <c r="S151" s="71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72">
        <f t="shared" si="27"/>
        <v>85.58200000000001</v>
      </c>
      <c r="L152" s="65">
        <f t="shared" si="28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49">
        <v>500000</v>
      </c>
      <c r="X153" s="77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>
        <f t="shared" si="27"/>
        <v>0</v>
      </c>
      <c r="L154" s="65">
        <f t="shared" si="28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3" ref="I155:I160">H155/G155*100</f>
        <v>4.1888000000000005</v>
      </c>
      <c r="J155" s="72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3"/>
        <v>58.264490971428586</v>
      </c>
      <c r="J156" s="72">
        <f t="shared" si="27"/>
        <v>58.264490971428586</v>
      </c>
      <c r="L156" s="65">
        <f t="shared" si="28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3"/>
        <v>79.79304627906977</v>
      </c>
      <c r="J157" s="72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3"/>
        <v>8</v>
      </c>
      <c r="J158" s="72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3"/>
        <v>0.5644337662337662</v>
      </c>
      <c r="J159" s="72">
        <f t="shared" si="27"/>
        <v>96.5808888888889</v>
      </c>
      <c r="L159" s="65">
        <f t="shared" si="28"/>
        <v>-1538.5999999999985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f>3775000-3880000</f>
        <v>-105000</v>
      </c>
      <c r="V159" s="71">
        <f>1550000</f>
        <v>1550000</v>
      </c>
      <c r="W159" s="71">
        <f>714800+2330000</f>
        <v>3044800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3"/>
        <v>30</v>
      </c>
      <c r="J160" s="72">
        <f t="shared" si="27"/>
        <v>100</v>
      </c>
      <c r="L160" s="65">
        <f t="shared" si="28"/>
        <v>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>
        <f t="shared" si="27"/>
        <v>0</v>
      </c>
      <c r="L161" s="65">
        <f t="shared" si="28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72">
        <f t="shared" si="27"/>
        <v>78.73974796779032</v>
      </c>
      <c r="L162" s="65">
        <f t="shared" si="28"/>
        <v>-890285.8099999996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72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95.86823529411764</v>
      </c>
      <c r="L164" s="65">
        <f t="shared" si="28"/>
        <v>-21072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>
        <f>-490000</f>
        <v>-490000</v>
      </c>
      <c r="V164" s="71">
        <v>490000</v>
      </c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7"/>
        <v>49</v>
      </c>
      <c r="L165" s="65">
        <f t="shared" si="28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</f>
        <v>32473008.84</v>
      </c>
      <c r="I166" s="43">
        <f>H166/G166*100</f>
        <v>72.97305357303371</v>
      </c>
      <c r="J166" s="72">
        <f t="shared" si="27"/>
        <v>93.19674785828059</v>
      </c>
      <c r="L166" s="65">
        <f t="shared" si="28"/>
        <v>-2370491.16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-400000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f>600000-500000</f>
        <v>100000</v>
      </c>
      <c r="V167" s="71">
        <v>600000</v>
      </c>
      <c r="W167" s="71">
        <f>500000</f>
        <v>500000</v>
      </c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</f>
        <v>1335979.42</v>
      </c>
      <c r="I168" s="43">
        <f>H168/G168*100</f>
        <v>41.749356875</v>
      </c>
      <c r="J168" s="72">
        <f t="shared" si="27"/>
        <v>49.84997835820895</v>
      </c>
      <c r="L168" s="65">
        <f t="shared" si="28"/>
        <v>-1344020.58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>
        <f>-520000</f>
        <v>-520000</v>
      </c>
      <c r="V168" s="71">
        <f>120000</f>
        <v>120000</v>
      </c>
      <c r="W168" s="71">
        <f>400000</f>
        <v>400000</v>
      </c>
      <c r="X168" s="71"/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72">
        <f t="shared" si="27"/>
        <v>53.99175899280575</v>
      </c>
      <c r="L175" s="65">
        <f t="shared" si="28"/>
        <v>-639514.55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>
        <f>-2400000+490000</f>
        <v>-1910000</v>
      </c>
      <c r="V175" s="71">
        <f>2400000-490000</f>
        <v>1910000</v>
      </c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</f>
        <v>6186713.109999999</v>
      </c>
      <c r="I176" s="43">
        <f>H176/G176*100</f>
        <v>51.04548770627062</v>
      </c>
      <c r="J176" s="72">
        <f t="shared" si="27"/>
        <v>59.48305043842781</v>
      </c>
      <c r="L176" s="65">
        <f t="shared" si="28"/>
        <v>-4214086.890000001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f>-330000-100000+1500000</f>
        <v>1070000</v>
      </c>
      <c r="V176" s="71">
        <f>2789200+330000+100000-1500000</f>
        <v>1719200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50">
        <f>4351772.44+7541+3400000+581526.71+692783.83+51856.29-69412.37+3809977.2+5016173</f>
        <v>17842218.1</v>
      </c>
      <c r="I177" s="43">
        <f>H177/G177*100</f>
        <v>82.98706093023257</v>
      </c>
      <c r="J177" s="72">
        <f t="shared" si="27"/>
        <v>97.87283653318705</v>
      </c>
      <c r="L177" s="65">
        <f t="shared" si="28"/>
        <v>-387781.8999999985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</f>
        <v>6595996.41</v>
      </c>
      <c r="I178" s="43">
        <f>H178/G178*100</f>
        <v>50.73843392307692</v>
      </c>
      <c r="J178" s="72">
        <f t="shared" si="27"/>
        <v>99.32233714801988</v>
      </c>
      <c r="L178" s="65">
        <f t="shared" si="28"/>
        <v>-45003.58999999985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</f>
        <v>2500000</v>
      </c>
      <c r="V178" s="49"/>
      <c r="W178" s="49">
        <f>2000000-141000+5000000-2500000</f>
        <v>4359000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72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166248937.02999997</v>
      </c>
      <c r="I182" s="38">
        <f>H182/D182*100</f>
        <v>55.661852105957564</v>
      </c>
      <c r="J182" s="81">
        <f>H182/(N182+O182+P182+Q182+R182+S182+T182+U182)*100</f>
        <v>84.69011257282855</v>
      </c>
      <c r="L182" s="65">
        <f t="shared" si="28"/>
        <v>-35554515.05000001</v>
      </c>
      <c r="M182" s="71">
        <f>M9+M147</f>
        <v>5500800</v>
      </c>
      <c r="N182" s="71">
        <f aca="true" t="shared" si="34" ref="N182:X182">N9+N26+N147</f>
        <v>7474745</v>
      </c>
      <c r="O182" s="71">
        <f t="shared" si="34"/>
        <v>53795455.42</v>
      </c>
      <c r="P182" s="71">
        <f t="shared" si="34"/>
        <v>21619022</v>
      </c>
      <c r="Q182" s="71">
        <f t="shared" si="34"/>
        <v>15812043</v>
      </c>
      <c r="R182" s="71">
        <f t="shared" si="34"/>
        <v>11312906.419999998</v>
      </c>
      <c r="S182" s="71">
        <f t="shared" si="34"/>
        <v>26779125.97</v>
      </c>
      <c r="T182" s="71">
        <f t="shared" si="34"/>
        <v>38469787.04</v>
      </c>
      <c r="U182" s="71">
        <f t="shared" si="34"/>
        <v>21039567.23</v>
      </c>
      <c r="V182" s="71">
        <f t="shared" si="34"/>
        <v>29045132.58</v>
      </c>
      <c r="W182" s="71">
        <f t="shared" si="34"/>
        <v>35727624.79</v>
      </c>
      <c r="X182" s="71">
        <f t="shared" si="34"/>
        <v>32100408.12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2017-09-21T13:47:14Z</dcterms:modified>
  <cp:category/>
  <cp:version/>
  <cp:contentType/>
  <cp:contentStatus/>
</cp:coreProperties>
</file>